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19155" windowHeight="7965"/>
  </bookViews>
  <sheets>
    <sheet name="Sheet1" sheetId="1" r:id="rId1"/>
    <sheet name="Sheet2" sheetId="4" state="hidden" r:id="rId2"/>
  </sheets>
  <calcPr calcId="125725"/>
</workbook>
</file>

<file path=xl/calcChain.xml><?xml version="1.0" encoding="utf-8"?>
<calcChain xmlns="http://schemas.openxmlformats.org/spreadsheetml/2006/main">
  <c r="O20" i="4"/>
  <c r="M20"/>
  <c r="R19"/>
  <c r="Q19"/>
  <c r="P19"/>
  <c r="O19"/>
  <c r="N19"/>
  <c r="M19"/>
  <c r="F27"/>
  <c r="E27"/>
  <c r="D27"/>
  <c r="C27"/>
  <c r="G27"/>
  <c r="H6"/>
  <c r="H2"/>
  <c r="C20"/>
  <c r="D20"/>
  <c r="G20"/>
  <c r="F20"/>
  <c r="E20"/>
  <c r="C14"/>
  <c r="D10"/>
  <c r="D14"/>
  <c r="E10"/>
  <c r="E14"/>
  <c r="F10"/>
  <c r="E15"/>
  <c r="D15"/>
  <c r="C15"/>
  <c r="F15"/>
  <c r="F11"/>
  <c r="E11"/>
  <c r="E12" s="1"/>
  <c r="D11"/>
  <c r="C11"/>
  <c r="C10"/>
  <c r="C12" s="1"/>
  <c r="G11"/>
  <c r="G10"/>
  <c r="F14" s="1"/>
  <c r="F16" s="1"/>
  <c r="G8"/>
  <c r="F8"/>
  <c r="E8"/>
  <c r="D8"/>
  <c r="C8"/>
  <c r="G4"/>
  <c r="F4"/>
  <c r="E4"/>
  <c r="D4"/>
  <c r="C4"/>
  <c r="C38" i="1"/>
  <c r="D53"/>
  <c r="C55"/>
  <c r="D55" s="1"/>
  <c r="F15"/>
  <c r="D51"/>
  <c r="D49"/>
  <c r="C45"/>
  <c r="C23"/>
  <c r="E22" i="4" l="1"/>
  <c r="C22"/>
  <c r="F22"/>
  <c r="D22"/>
  <c r="G22"/>
  <c r="H20"/>
  <c r="C24" s="1"/>
  <c r="C61" i="1"/>
  <c r="C65" s="1"/>
  <c r="H8" i="4"/>
  <c r="D16"/>
  <c r="G12"/>
  <c r="G18" s="1"/>
  <c r="H4"/>
  <c r="C57" i="1"/>
  <c r="C59" s="1"/>
  <c r="H22" i="4" l="1"/>
  <c r="G24"/>
  <c r="F24"/>
  <c r="D24"/>
  <c r="E24"/>
  <c r="C69" i="1"/>
  <c r="C70" s="1"/>
  <c r="F12" i="4"/>
  <c r="F18" s="1"/>
  <c r="C74" i="1" l="1"/>
  <c r="C75" s="1"/>
  <c r="D83" s="1"/>
  <c r="D86" s="1"/>
  <c r="C16" i="4"/>
  <c r="C18" s="1"/>
  <c r="D12"/>
  <c r="D18" s="1"/>
  <c r="E16"/>
  <c r="E18" s="1"/>
  <c r="C78" i="1" l="1"/>
  <c r="C79" s="1"/>
  <c r="C83" s="1"/>
  <c r="F83" s="1"/>
  <c r="H18" i="4"/>
  <c r="C86" i="1" l="1"/>
</calcChain>
</file>

<file path=xl/sharedStrings.xml><?xml version="1.0" encoding="utf-8"?>
<sst xmlns="http://schemas.openxmlformats.org/spreadsheetml/2006/main" count="110" uniqueCount="85">
  <si>
    <t xml:space="preserve">Installed Capacity: </t>
  </si>
  <si>
    <t>MW</t>
  </si>
  <si>
    <t>Project Name:</t>
  </si>
  <si>
    <t>Capacity Factor:</t>
  </si>
  <si>
    <t>A. Generation Plant Characteristics</t>
  </si>
  <si>
    <t>B. Generation Capacity Commitment</t>
  </si>
  <si>
    <t>Capacity committed to non-utility consumers through PPAs:</t>
  </si>
  <si>
    <t>True / False</t>
  </si>
  <si>
    <t>Household Access Rate</t>
  </si>
  <si>
    <t>(for connected households)</t>
  </si>
  <si>
    <t>If FALSE, Please explain why the share of household consumption from the new generation is expected to be different.</t>
  </si>
  <si>
    <t xml:space="preserve">Average HH consumption </t>
  </si>
  <si>
    <t>No. of Households in the area</t>
  </si>
  <si>
    <t>(in percent)</t>
  </si>
  <si>
    <t>Therefore, expected supply to HH consumers from new generation</t>
  </si>
  <si>
    <t>No. of HH</t>
  </si>
  <si>
    <t>Avg. Consumption</t>
  </si>
  <si>
    <t>% of HH</t>
  </si>
  <si>
    <t>No. of Connected Housheolds</t>
  </si>
  <si>
    <t>Energy from new generation for supply to Mid consumers</t>
  </si>
  <si>
    <t>kWh / annum</t>
  </si>
  <si>
    <t>Energy from new generation supplied to High consumers</t>
  </si>
  <si>
    <t>Energy from new generation supplied to New consumers</t>
  </si>
  <si>
    <t>Energy from new generation for supply to Low consumers</t>
  </si>
  <si>
    <t>households</t>
  </si>
  <si>
    <t>New HH</t>
  </si>
  <si>
    <t>Number of HH benefitted</t>
  </si>
  <si>
    <t>Number of New HH Benefitted</t>
  </si>
  <si>
    <t>Number of Households Benefitting from New Generation</t>
  </si>
  <si>
    <t>The existing pattern of consumption is likely to continue with industry, commercial, agricultural and household consumers maintaining their respective share of consumption.</t>
  </si>
  <si>
    <t>Existing T&amp;D Losses</t>
  </si>
  <si>
    <t>Existing Supply to HH consumers</t>
  </si>
  <si>
    <t>Existing supply to non-HH consumers</t>
  </si>
  <si>
    <t>Do you expect households to have same share from new generation.</t>
  </si>
  <si>
    <t>(in number)</t>
  </si>
  <si>
    <t>C. Utility Supply</t>
  </si>
  <si>
    <t>(It is assumed that new energy becomes available to new consumers only after existing consumers HH have benefitted. 
It enables all new consumers to reach the Mid Level)</t>
  </si>
  <si>
    <t>Existing HH</t>
  </si>
  <si>
    <t>D.</t>
  </si>
  <si>
    <t>Annual Consumption Level of Connected HH</t>
  </si>
  <si>
    <t xml:space="preserve">(Proposed) Methodology for Estimation of Increase in Electricity Access from New Generation Projects </t>
  </si>
  <si>
    <r>
      <rPr>
        <b/>
        <sz val="11"/>
        <color theme="1"/>
        <rFont val="Calibri"/>
        <family val="2"/>
        <scheme val="minor"/>
      </rPr>
      <t>Low</t>
    </r>
    <r>
      <rPr>
        <sz val="11"/>
        <color theme="1"/>
        <rFont val="Calibri"/>
        <family val="2"/>
        <scheme val="minor"/>
      </rPr>
      <t>:                                          &lt;321 kWh / annum</t>
    </r>
  </si>
  <si>
    <r>
      <rPr>
        <b/>
        <sz val="11"/>
        <color theme="1"/>
        <rFont val="Calibri"/>
        <family val="2"/>
        <scheme val="minor"/>
      </rPr>
      <t>Mid</t>
    </r>
    <r>
      <rPr>
        <sz val="11"/>
        <color theme="1"/>
        <rFont val="Calibri"/>
        <family val="2"/>
        <scheme val="minor"/>
      </rPr>
      <t>:                                  321-2121 kWh / annum</t>
    </r>
  </si>
  <si>
    <r>
      <rPr>
        <b/>
        <sz val="11"/>
        <color theme="1"/>
        <rFont val="Calibri"/>
        <family val="2"/>
        <scheme val="minor"/>
      </rPr>
      <t>High</t>
    </r>
    <r>
      <rPr>
        <sz val="11"/>
        <color theme="1"/>
        <rFont val="Calibri"/>
        <family val="2"/>
        <scheme val="minor"/>
      </rPr>
      <t>:                             2121-12000 kWh / annum</t>
    </r>
  </si>
  <si>
    <r>
      <rPr>
        <b/>
        <sz val="11"/>
        <color theme="1"/>
        <rFont val="Calibri"/>
        <family val="2"/>
        <scheme val="minor"/>
      </rPr>
      <t>Very High</t>
    </r>
    <r>
      <rPr>
        <sz val="11"/>
        <color theme="1"/>
        <rFont val="Calibri"/>
        <family val="2"/>
        <scheme val="minor"/>
      </rPr>
      <t xml:space="preserve"> :                          &gt;12000 kWh / annum</t>
    </r>
  </si>
  <si>
    <t>Percentage increase in consumption by High consumers</t>
  </si>
  <si>
    <t>(It is assumed that new energy is not needed by Very High consumers. It becomes available to the High consumers first. 
It enables High consumers to consume more by the specified percentage.)</t>
  </si>
  <si>
    <t>(It is assumed that new energy becomes available to Mid consumers next. 
It enables Mid consumers to consume more by the specified percentage.)</t>
  </si>
  <si>
    <t>Percentage increase in consumption by Mid consumers</t>
  </si>
  <si>
    <t>Percentage increase in consumption by Low consumers</t>
  </si>
  <si>
    <t>(It is assumed that new energy becomes available to Low consumers next. 
It enables Low consumers to increase consumption by the secified percentage or move to Mid level - whichever is higher.)</t>
  </si>
  <si>
    <t>(Low &amp; Med)</t>
  </si>
  <si>
    <t>N</t>
  </si>
  <si>
    <t>n</t>
  </si>
  <si>
    <t>q</t>
  </si>
  <si>
    <t>Q</t>
  </si>
  <si>
    <t>e</t>
  </si>
  <si>
    <t>E</t>
  </si>
  <si>
    <t>% Incremental Share</t>
  </si>
  <si>
    <t>New HH Access Rate</t>
  </si>
  <si>
    <t>First Survey</t>
  </si>
  <si>
    <t>Second Survey</t>
  </si>
  <si>
    <t>TOTAL</t>
  </si>
  <si>
    <t>Tier-0</t>
  </si>
  <si>
    <t>Tier-5</t>
  </si>
  <si>
    <t>Tier-5+</t>
  </si>
  <si>
    <t>Tier-3 &amp; 4</t>
  </si>
  <si>
    <t>Tier-1 &amp; 2</t>
  </si>
  <si>
    <t>Additional Energy Provided</t>
  </si>
  <si>
    <t>Final Energy Provided without Tier Migration</t>
  </si>
  <si>
    <t>E.</t>
  </si>
  <si>
    <r>
      <t xml:space="preserve">Allocation of Access Benefit to Generation Project
</t>
    </r>
    <r>
      <rPr>
        <sz val="11"/>
        <color theme="1"/>
        <rFont val="Calibri"/>
        <family val="2"/>
        <scheme val="minor"/>
      </rPr>
      <t>Number of Households Benefitting from New Generation</t>
    </r>
  </si>
  <si>
    <t>ABC Geothermal Project</t>
  </si>
  <si>
    <t>Consumption by Households before Project</t>
  </si>
  <si>
    <t>Additional Consumption by Households after Project</t>
  </si>
  <si>
    <t xml:space="preserve">Capacity committed to SRPDCL distribution utility : </t>
  </si>
  <si>
    <t>&lt; 66</t>
  </si>
  <si>
    <t>kWh</t>
  </si>
  <si>
    <t>66-321 kWh</t>
  </si>
  <si>
    <t>321-1318 kWh</t>
  </si>
  <si>
    <t>1318-2121 kWh</t>
  </si>
  <si>
    <t>2121-12000 kWh</t>
  </si>
  <si>
    <t>&gt; 12000</t>
  </si>
  <si>
    <t>% of connected consumers</t>
  </si>
  <si>
    <t>Average consumption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</si>
</sst>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2" borderId="1" xfId="0" applyFill="1" applyBorder="1" applyAlignment="1">
      <alignment horizontal="left" vertical="top"/>
    </xf>
    <xf numFmtId="9" fontId="0" fillId="2" borderId="1" xfId="0" applyNumberFormat="1" applyFill="1" applyBorder="1" applyAlignment="1">
      <alignment horizontal="left"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vertical="top"/>
    </xf>
    <xf numFmtId="0" fontId="1" fillId="0" borderId="5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9" fontId="0" fillId="2" borderId="1" xfId="0" applyNumberFormat="1" applyFill="1" applyBorder="1" applyAlignment="1">
      <alignment vertical="top"/>
    </xf>
    <xf numFmtId="9" fontId="0" fillId="0" borderId="0" xfId="0" applyNumberFormat="1" applyFill="1" applyBorder="1" applyAlignment="1">
      <alignment vertical="top"/>
    </xf>
    <xf numFmtId="0" fontId="0" fillId="0" borderId="0" xfId="0" applyAlignment="1">
      <alignment horizontal="left" vertical="top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164" fontId="0" fillId="0" borderId="0" xfId="1" applyNumberFormat="1" applyFont="1" applyFill="1" applyBorder="1" applyAlignment="1">
      <alignment vertical="top"/>
    </xf>
    <xf numFmtId="164" fontId="0" fillId="2" borderId="1" xfId="1" applyNumberFormat="1" applyFont="1" applyFill="1" applyBorder="1" applyAlignment="1">
      <alignment vertical="top"/>
    </xf>
    <xf numFmtId="164" fontId="0" fillId="0" borderId="0" xfId="1" applyNumberFormat="1" applyFont="1" applyAlignment="1">
      <alignment vertical="top"/>
    </xf>
    <xf numFmtId="0" fontId="0" fillId="0" borderId="0" xfId="0" applyBorder="1" applyAlignment="1">
      <alignment horizontal="left" vertical="top" wrapText="1"/>
    </xf>
    <xf numFmtId="164" fontId="0" fillId="0" borderId="0" xfId="0" applyNumberFormat="1" applyBorder="1" applyAlignment="1">
      <alignment vertical="top"/>
    </xf>
    <xf numFmtId="0" fontId="0" fillId="0" borderId="10" xfId="0" applyBorder="1" applyAlignment="1">
      <alignment vertical="top"/>
    </xf>
    <xf numFmtId="164" fontId="0" fillId="0" borderId="5" xfId="1" applyNumberFormat="1" applyFont="1" applyBorder="1" applyAlignment="1">
      <alignment vertical="top"/>
    </xf>
    <xf numFmtId="0" fontId="0" fillId="0" borderId="0" xfId="0" applyBorder="1" applyAlignment="1">
      <alignment vertical="top" wrapText="1"/>
    </xf>
    <xf numFmtId="164" fontId="0" fillId="0" borderId="0" xfId="0" applyNumberFormat="1" applyAlignment="1">
      <alignment horizontal="right"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0" fillId="0" borderId="5" xfId="0" applyBorder="1" applyAlignment="1">
      <alignment vertical="top" wrapText="1"/>
    </xf>
    <xf numFmtId="164" fontId="0" fillId="0" borderId="0" xfId="0" applyNumberFormat="1" applyFill="1" applyBorder="1" applyAlignment="1">
      <alignment vertical="top"/>
    </xf>
    <xf numFmtId="9" fontId="0" fillId="0" borderId="0" xfId="2" applyFont="1" applyBorder="1" applyAlignment="1">
      <alignment vertical="top"/>
    </xf>
    <xf numFmtId="164" fontId="0" fillId="0" borderId="0" xfId="1" applyNumberFormat="1" applyFont="1" applyBorder="1" applyAlignment="1">
      <alignment vertical="top"/>
    </xf>
    <xf numFmtId="165" fontId="0" fillId="2" borderId="1" xfId="2" applyNumberFormat="1" applyFont="1" applyFill="1" applyBorder="1" applyAlignment="1">
      <alignment vertical="top"/>
    </xf>
    <xf numFmtId="165" fontId="0" fillId="0" borderId="0" xfId="2" applyNumberFormat="1" applyFont="1" applyFill="1" applyBorder="1" applyAlignment="1">
      <alignment vertical="top"/>
    </xf>
    <xf numFmtId="165" fontId="0" fillId="2" borderId="1" xfId="0" applyNumberFormat="1" applyFill="1" applyBorder="1" applyAlignment="1">
      <alignment vertical="top"/>
    </xf>
    <xf numFmtId="0" fontId="0" fillId="0" borderId="0" xfId="0" applyAlignment="1">
      <alignment horizontal="center"/>
    </xf>
    <xf numFmtId="9" fontId="0" fillId="0" borderId="0" xfId="2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vertical="top" wrapText="1"/>
    </xf>
    <xf numFmtId="10" fontId="0" fillId="0" borderId="0" xfId="2" applyNumberFormat="1" applyFont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9" fontId="0" fillId="0" borderId="16" xfId="0" applyNumberFormat="1" applyBorder="1" applyAlignment="1">
      <alignment horizontal="right" vertical="top" wrapText="1"/>
    </xf>
    <xf numFmtId="10" fontId="0" fillId="0" borderId="16" xfId="0" applyNumberFormat="1" applyBorder="1" applyAlignment="1">
      <alignment horizontal="right" vertical="top" wrapText="1"/>
    </xf>
    <xf numFmtId="0" fontId="0" fillId="0" borderId="16" xfId="0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0" fillId="2" borderId="2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164" fontId="0" fillId="2" borderId="2" xfId="1" applyNumberFormat="1" applyFont="1" applyFill="1" applyBorder="1" applyAlignment="1">
      <alignment horizontal="right" vertical="top"/>
    </xf>
    <xf numFmtId="164" fontId="0" fillId="2" borderId="12" xfId="1" applyNumberFormat="1" applyFont="1" applyFill="1" applyBorder="1" applyAlignment="1">
      <alignment horizontal="right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tabSelected="1" topLeftCell="A20" workbookViewId="0">
      <selection activeCell="F43" sqref="F43"/>
    </sheetView>
  </sheetViews>
  <sheetFormatPr defaultRowHeight="15" outlineLevelRow="1"/>
  <cols>
    <col min="1" max="1" width="2.7109375" style="1" customWidth="1"/>
    <col min="2" max="2" width="52.5703125" style="1" customWidth="1"/>
    <col min="3" max="3" width="12.28515625" style="1" customWidth="1"/>
    <col min="4" max="4" width="12.85546875" style="1" customWidth="1"/>
    <col min="5" max="5" width="2.140625" style="1" customWidth="1"/>
    <col min="6" max="6" width="12" style="1" customWidth="1"/>
    <col min="7" max="7" width="14" style="1" customWidth="1"/>
    <col min="8" max="16384" width="9.140625" style="1"/>
  </cols>
  <sheetData>
    <row r="1" spans="1:7" ht="15.75">
      <c r="A1" s="60" t="s">
        <v>40</v>
      </c>
      <c r="B1" s="60"/>
      <c r="C1" s="60"/>
      <c r="D1" s="60"/>
      <c r="E1" s="60"/>
      <c r="F1" s="60"/>
      <c r="G1" s="60"/>
    </row>
    <row r="2" spans="1:7" ht="4.5" customHeight="1"/>
    <row r="3" spans="1:7">
      <c r="A3" s="9" t="s">
        <v>4</v>
      </c>
      <c r="B3" s="10"/>
      <c r="C3" s="10"/>
      <c r="D3" s="10"/>
      <c r="E3" s="10"/>
      <c r="F3" s="10"/>
      <c r="G3" s="10"/>
    </row>
    <row r="4" spans="1:7" ht="4.5" customHeight="1" outlineLevel="1"/>
    <row r="5" spans="1:7" outlineLevel="1">
      <c r="B5" s="1" t="s">
        <v>2</v>
      </c>
      <c r="C5" s="61" t="s">
        <v>72</v>
      </c>
      <c r="D5" s="62"/>
      <c r="E5" s="62"/>
      <c r="F5" s="62"/>
      <c r="G5" s="63"/>
    </row>
    <row r="6" spans="1:7" ht="4.5" customHeight="1" outlineLevel="1"/>
    <row r="7" spans="1:7" outlineLevel="1">
      <c r="B7" s="1" t="s">
        <v>0</v>
      </c>
      <c r="C7" s="3">
        <v>200</v>
      </c>
      <c r="D7" s="1" t="s">
        <v>1</v>
      </c>
    </row>
    <row r="8" spans="1:7" ht="4.5" customHeight="1" outlineLevel="1"/>
    <row r="9" spans="1:7" outlineLevel="1">
      <c r="B9" s="1" t="s">
        <v>3</v>
      </c>
      <c r="C9" s="4">
        <v>0.9</v>
      </c>
      <c r="E9" s="12"/>
      <c r="F9" s="12"/>
      <c r="G9" s="13"/>
    </row>
    <row r="10" spans="1:7" ht="15.75" customHeight="1"/>
    <row r="11" spans="1:7">
      <c r="A11" s="9" t="s">
        <v>5</v>
      </c>
      <c r="B11" s="10"/>
      <c r="C11" s="10"/>
      <c r="D11" s="10"/>
      <c r="E11" s="10"/>
      <c r="F11" s="10"/>
      <c r="G11" s="10"/>
    </row>
    <row r="12" spans="1:7" ht="4.5" customHeight="1" outlineLevel="1"/>
    <row r="13" spans="1:7" outlineLevel="1">
      <c r="B13" s="1" t="s">
        <v>6</v>
      </c>
      <c r="F13" s="6">
        <v>40</v>
      </c>
      <c r="G13" s="1" t="s">
        <v>1</v>
      </c>
    </row>
    <row r="14" spans="1:7" ht="4.5" customHeight="1" outlineLevel="1">
      <c r="F14" s="7"/>
    </row>
    <row r="15" spans="1:7" outlineLevel="1">
      <c r="B15" s="1" t="s">
        <v>75</v>
      </c>
      <c r="F15" s="13">
        <f>C7-F13</f>
        <v>160</v>
      </c>
      <c r="G15" s="1" t="s">
        <v>1</v>
      </c>
    </row>
    <row r="16" spans="1:7" ht="16.5" customHeight="1"/>
    <row r="17" spans="1:7">
      <c r="A17" s="9" t="s">
        <v>35</v>
      </c>
      <c r="B17" s="10"/>
      <c r="C17" s="10"/>
      <c r="D17" s="10"/>
      <c r="E17" s="9"/>
      <c r="F17" s="10"/>
      <c r="G17" s="10"/>
    </row>
    <row r="18" spans="1:7" ht="4.5" customHeight="1">
      <c r="D18" s="8"/>
      <c r="E18" s="8"/>
      <c r="F18" s="8"/>
    </row>
    <row r="19" spans="1:7" outlineLevel="1">
      <c r="B19" s="1" t="s">
        <v>30</v>
      </c>
      <c r="C19" s="14">
        <v>0.4</v>
      </c>
      <c r="D19" s="8" t="s">
        <v>13</v>
      </c>
      <c r="E19" s="8"/>
      <c r="F19" s="8"/>
    </row>
    <row r="20" spans="1:7" ht="4.5" customHeight="1" outlineLevel="1">
      <c r="D20" s="8"/>
      <c r="E20" s="8"/>
      <c r="F20" s="8"/>
    </row>
    <row r="21" spans="1:7" outlineLevel="1">
      <c r="B21" s="1" t="s">
        <v>31</v>
      </c>
      <c r="C21" s="14">
        <v>0.2</v>
      </c>
      <c r="D21" s="8" t="s">
        <v>13</v>
      </c>
      <c r="E21" s="8"/>
      <c r="F21" s="8"/>
    </row>
    <row r="22" spans="1:7" ht="4.5" customHeight="1" outlineLevel="1">
      <c r="D22" s="8"/>
      <c r="E22" s="8"/>
      <c r="F22" s="8"/>
    </row>
    <row r="23" spans="1:7" outlineLevel="1">
      <c r="B23" s="1" t="s">
        <v>32</v>
      </c>
      <c r="C23" s="15">
        <f>1-C19-C21</f>
        <v>0.39999999999999997</v>
      </c>
      <c r="D23" s="8"/>
      <c r="E23" s="8"/>
      <c r="F23" s="8"/>
    </row>
    <row r="24" spans="1:7" ht="4.5" customHeight="1" outlineLevel="1">
      <c r="D24" s="8"/>
      <c r="E24" s="8"/>
      <c r="F24" s="8"/>
    </row>
    <row r="25" spans="1:7" outlineLevel="1">
      <c r="B25" s="50" t="s">
        <v>33</v>
      </c>
      <c r="C25" s="5" t="b">
        <v>1</v>
      </c>
      <c r="D25" s="8" t="s">
        <v>7</v>
      </c>
      <c r="E25" s="8"/>
      <c r="F25" s="8"/>
    </row>
    <row r="26" spans="1:7" outlineLevel="1">
      <c r="B26" s="50"/>
      <c r="D26" s="8"/>
      <c r="E26" s="8"/>
      <c r="F26" s="8"/>
    </row>
    <row r="27" spans="1:7" ht="4.5" customHeight="1" outlineLevel="1">
      <c r="D27" s="8"/>
      <c r="E27" s="8"/>
      <c r="F27" s="8"/>
    </row>
    <row r="28" spans="1:7" ht="15" customHeight="1" outlineLevel="1">
      <c r="B28" s="50" t="s">
        <v>10</v>
      </c>
      <c r="C28" s="51" t="s">
        <v>29</v>
      </c>
      <c r="D28" s="52"/>
      <c r="E28" s="52"/>
      <c r="F28" s="52"/>
      <c r="G28" s="53"/>
    </row>
    <row r="29" spans="1:7" ht="4.5" customHeight="1" outlineLevel="1">
      <c r="B29" s="50"/>
      <c r="C29" s="54"/>
      <c r="D29" s="55"/>
      <c r="E29" s="55"/>
      <c r="F29" s="55"/>
      <c r="G29" s="56"/>
    </row>
    <row r="30" spans="1:7" outlineLevel="1">
      <c r="B30" s="50"/>
      <c r="C30" s="54"/>
      <c r="D30" s="55"/>
      <c r="E30" s="55"/>
      <c r="F30" s="55"/>
      <c r="G30" s="56"/>
    </row>
    <row r="31" spans="1:7" ht="4.5" customHeight="1" outlineLevel="1">
      <c r="B31" s="50"/>
      <c r="C31" s="54"/>
      <c r="D31" s="55"/>
      <c r="E31" s="55"/>
      <c r="F31" s="55"/>
      <c r="G31" s="56"/>
    </row>
    <row r="32" spans="1:7" outlineLevel="1">
      <c r="B32" s="50"/>
      <c r="C32" s="54"/>
      <c r="D32" s="55"/>
      <c r="E32" s="55"/>
      <c r="F32" s="55"/>
      <c r="G32" s="56"/>
    </row>
    <row r="33" spans="2:7" ht="4.5" customHeight="1" outlineLevel="1">
      <c r="B33" s="50"/>
      <c r="C33" s="54"/>
      <c r="D33" s="55"/>
      <c r="E33" s="55"/>
      <c r="F33" s="55"/>
      <c r="G33" s="56"/>
    </row>
    <row r="34" spans="2:7" outlineLevel="1">
      <c r="B34" s="50"/>
      <c r="C34" s="54"/>
      <c r="D34" s="55"/>
      <c r="E34" s="55"/>
      <c r="F34" s="55"/>
      <c r="G34" s="56"/>
    </row>
    <row r="35" spans="2:7" ht="4.5" customHeight="1" outlineLevel="1">
      <c r="B35" s="50"/>
      <c r="C35" s="54"/>
      <c r="D35" s="55"/>
      <c r="E35" s="55"/>
      <c r="F35" s="55"/>
      <c r="G35" s="56"/>
    </row>
    <row r="36" spans="2:7" outlineLevel="1">
      <c r="B36" s="50"/>
      <c r="C36" s="57"/>
      <c r="D36" s="58"/>
      <c r="E36" s="58"/>
      <c r="F36" s="58"/>
      <c r="G36" s="59"/>
    </row>
    <row r="37" spans="2:7" ht="4.5" customHeight="1" outlineLevel="1"/>
    <row r="38" spans="2:7" outlineLevel="1">
      <c r="B38" s="50" t="s">
        <v>14</v>
      </c>
      <c r="C38" s="14">
        <f>C21</f>
        <v>0.2</v>
      </c>
      <c r="D38" s="8" t="s">
        <v>13</v>
      </c>
    </row>
    <row r="39" spans="2:7" outlineLevel="1">
      <c r="B39" s="50"/>
      <c r="C39" s="15"/>
      <c r="D39" s="8"/>
    </row>
    <row r="40" spans="2:7" ht="4.5" customHeight="1" outlineLevel="1"/>
    <row r="41" spans="2:7" outlineLevel="1">
      <c r="B41" s="1" t="s">
        <v>12</v>
      </c>
      <c r="C41" s="20">
        <v>8000000</v>
      </c>
      <c r="D41" s="8" t="s">
        <v>34</v>
      </c>
      <c r="E41" s="8"/>
      <c r="F41" s="8"/>
    </row>
    <row r="42" spans="2:7" ht="4.5" customHeight="1" outlineLevel="1">
      <c r="D42" s="8"/>
      <c r="E42" s="8"/>
      <c r="F42" s="8"/>
    </row>
    <row r="43" spans="2:7" outlineLevel="1">
      <c r="B43" s="1" t="s">
        <v>8</v>
      </c>
      <c r="C43" s="14">
        <v>0.12</v>
      </c>
      <c r="D43" s="8" t="s">
        <v>13</v>
      </c>
      <c r="E43" s="8"/>
      <c r="F43" s="8"/>
    </row>
    <row r="44" spans="2:7" ht="4.5" customHeight="1" outlineLevel="1">
      <c r="D44" s="8"/>
      <c r="E44" s="8"/>
      <c r="F44" s="8"/>
    </row>
    <row r="45" spans="2:7" outlineLevel="1">
      <c r="B45" s="1" t="s">
        <v>18</v>
      </c>
      <c r="C45" s="19">
        <f>C41*C43</f>
        <v>960000</v>
      </c>
      <c r="D45" s="8"/>
      <c r="E45" s="8"/>
      <c r="F45" s="8"/>
    </row>
    <row r="46" spans="2:7" ht="4.5" customHeight="1" outlineLevel="1">
      <c r="D46" s="8"/>
      <c r="E46" s="8"/>
      <c r="F46" s="8"/>
    </row>
    <row r="47" spans="2:7" outlineLevel="1">
      <c r="B47" s="1" t="s">
        <v>39</v>
      </c>
      <c r="C47" s="17" t="s">
        <v>17</v>
      </c>
      <c r="D47" s="18" t="s">
        <v>15</v>
      </c>
      <c r="E47" s="67" t="s">
        <v>16</v>
      </c>
      <c r="F47" s="68"/>
      <c r="G47" s="69"/>
    </row>
    <row r="48" spans="2:7" ht="4.5" customHeight="1" outlineLevel="1"/>
    <row r="49" spans="2:7" outlineLevel="1">
      <c r="B49" s="16" t="s">
        <v>41</v>
      </c>
      <c r="C49" s="36">
        <v>0.6</v>
      </c>
      <c r="D49" s="27">
        <f>C41*C43*C49</f>
        <v>576000</v>
      </c>
      <c r="E49" s="65">
        <v>175</v>
      </c>
      <c r="F49" s="66"/>
      <c r="G49" s="1" t="s">
        <v>20</v>
      </c>
    </row>
    <row r="50" spans="2:7" ht="4.5" customHeight="1" outlineLevel="1">
      <c r="B50" s="11"/>
      <c r="D50" s="11"/>
    </row>
    <row r="51" spans="2:7" outlineLevel="1">
      <c r="B51" s="16" t="s">
        <v>42</v>
      </c>
      <c r="C51" s="36">
        <v>0.38</v>
      </c>
      <c r="D51" s="27">
        <f>C41*C43*C51</f>
        <v>364800</v>
      </c>
      <c r="E51" s="65">
        <v>837</v>
      </c>
      <c r="F51" s="66"/>
      <c r="G51" s="1" t="s">
        <v>20</v>
      </c>
    </row>
    <row r="52" spans="2:7" ht="4.5" customHeight="1" outlineLevel="1">
      <c r="B52" s="11"/>
      <c r="D52" s="11"/>
    </row>
    <row r="53" spans="2:7" outlineLevel="1">
      <c r="B53" s="16" t="s">
        <v>43</v>
      </c>
      <c r="C53" s="34">
        <v>1.4999999999999999E-2</v>
      </c>
      <c r="D53" s="27">
        <f>C41*C43*C53</f>
        <v>14400</v>
      </c>
      <c r="E53" s="65">
        <v>4000</v>
      </c>
      <c r="F53" s="66"/>
      <c r="G53" s="1" t="s">
        <v>20</v>
      </c>
    </row>
    <row r="54" spans="2:7" ht="4.5" customHeight="1" outlineLevel="1">
      <c r="B54" s="11"/>
    </row>
    <row r="55" spans="2:7" outlineLevel="1">
      <c r="B55" s="16" t="s">
        <v>44</v>
      </c>
      <c r="C55" s="35">
        <f>1-C49-C51-C53</f>
        <v>5.0000000000000183E-3</v>
      </c>
      <c r="D55" s="27">
        <f>C41*C43*C55</f>
        <v>4800.0000000000173</v>
      </c>
      <c r="E55" s="65">
        <v>14000</v>
      </c>
      <c r="F55" s="66"/>
      <c r="G55" s="1" t="s">
        <v>20</v>
      </c>
    </row>
    <row r="56" spans="2:7" ht="4.5" customHeight="1" outlineLevel="1">
      <c r="B56" s="11"/>
    </row>
    <row r="57" spans="2:7" outlineLevel="1">
      <c r="B57" s="1" t="s">
        <v>11</v>
      </c>
      <c r="C57" s="31">
        <f>C49*E49+C51*E51+C53*E53+C55*E55</f>
        <v>553.06000000000029</v>
      </c>
      <c r="D57" s="8" t="s">
        <v>20</v>
      </c>
      <c r="E57" s="2" t="s">
        <v>9</v>
      </c>
      <c r="F57" s="8"/>
    </row>
    <row r="58" spans="2:7" ht="4.5" customHeight="1" outlineLevel="1">
      <c r="D58" s="8"/>
      <c r="E58" s="8"/>
      <c r="F58" s="8"/>
    </row>
    <row r="59" spans="2:7" ht="15" customHeight="1" outlineLevel="1">
      <c r="B59" s="1" t="s">
        <v>73</v>
      </c>
      <c r="C59" s="21">
        <f>C57*C45</f>
        <v>530937600.0000003</v>
      </c>
      <c r="D59" s="8" t="s">
        <v>20</v>
      </c>
      <c r="E59" s="8"/>
      <c r="F59" s="8"/>
    </row>
    <row r="60" spans="2:7" ht="4.5" customHeight="1" outlineLevel="1">
      <c r="D60" s="8"/>
      <c r="E60" s="8"/>
      <c r="F60" s="8"/>
    </row>
    <row r="61" spans="2:7" outlineLevel="1">
      <c r="B61" s="42" t="s">
        <v>74</v>
      </c>
      <c r="C61" s="21">
        <f>$F$15*$C$9*C38*365*24*1000</f>
        <v>252288000</v>
      </c>
      <c r="D61" s="8" t="s">
        <v>20</v>
      </c>
    </row>
    <row r="62" spans="2:7" outlineLevel="1">
      <c r="B62" s="42"/>
      <c r="D62" s="8"/>
    </row>
    <row r="63" spans="2:7" ht="4.5" customHeight="1" outlineLevel="1">
      <c r="B63" s="11"/>
    </row>
    <row r="64" spans="2:7" outlineLevel="1">
      <c r="B64" s="30" t="s">
        <v>45</v>
      </c>
      <c r="C64" s="14">
        <v>0.1</v>
      </c>
      <c r="D64" s="10" t="s">
        <v>13</v>
      </c>
      <c r="E64" s="10"/>
      <c r="F64" s="10"/>
      <c r="G64" s="10"/>
    </row>
    <row r="65" spans="2:7" outlineLevel="1">
      <c r="B65" s="26" t="s">
        <v>21</v>
      </c>
      <c r="C65" s="33">
        <f>MIN((C61),(E53*D53*C64))</f>
        <v>5760000</v>
      </c>
      <c r="D65" s="8" t="s">
        <v>20</v>
      </c>
      <c r="E65" s="8"/>
      <c r="F65" s="8"/>
      <c r="G65" s="8"/>
    </row>
    <row r="66" spans="2:7" ht="30" customHeight="1" outlineLevel="1">
      <c r="B66" s="70" t="s">
        <v>46</v>
      </c>
      <c r="C66" s="70"/>
      <c r="D66" s="70"/>
      <c r="E66" s="70"/>
      <c r="F66" s="70"/>
      <c r="G66" s="70"/>
    </row>
    <row r="67" spans="2:7" ht="4.5" customHeight="1" outlineLevel="1"/>
    <row r="68" spans="2:7" outlineLevel="1">
      <c r="B68" s="30" t="s">
        <v>48</v>
      </c>
      <c r="C68" s="14">
        <v>0.3</v>
      </c>
      <c r="D68" s="10" t="s">
        <v>13</v>
      </c>
      <c r="E68" s="10"/>
      <c r="F68" s="10"/>
      <c r="G68" s="10"/>
    </row>
    <row r="69" spans="2:7" ht="15" customHeight="1" outlineLevel="1">
      <c r="B69" s="26" t="s">
        <v>19</v>
      </c>
      <c r="C69" s="25">
        <f>MIN((C61-C65),(D51*E51*C68))</f>
        <v>91601280</v>
      </c>
      <c r="D69" s="8" t="s">
        <v>20</v>
      </c>
      <c r="E69" s="8"/>
      <c r="F69" s="8"/>
      <c r="G69" s="8"/>
    </row>
    <row r="70" spans="2:7" outlineLevel="1">
      <c r="B70" s="22" t="s">
        <v>26</v>
      </c>
      <c r="C70" s="23">
        <f>C69/(E51*C68)</f>
        <v>364800</v>
      </c>
      <c r="D70" s="8" t="s">
        <v>24</v>
      </c>
      <c r="E70" s="8"/>
      <c r="F70" s="8"/>
      <c r="G70" s="8"/>
    </row>
    <row r="71" spans="2:7" ht="30.75" customHeight="1" outlineLevel="1">
      <c r="B71" s="70" t="s">
        <v>47</v>
      </c>
      <c r="C71" s="70"/>
      <c r="D71" s="70"/>
      <c r="E71" s="70"/>
      <c r="F71" s="70"/>
      <c r="G71" s="70"/>
    </row>
    <row r="72" spans="2:7" ht="4.5" customHeight="1" outlineLevel="1"/>
    <row r="73" spans="2:7" outlineLevel="1">
      <c r="B73" s="30" t="s">
        <v>49</v>
      </c>
      <c r="C73" s="14">
        <v>0.6</v>
      </c>
      <c r="D73" s="10" t="s">
        <v>13</v>
      </c>
      <c r="E73" s="10"/>
      <c r="F73" s="10"/>
      <c r="G73" s="10"/>
    </row>
    <row r="74" spans="2:7" ht="15" customHeight="1" outlineLevel="1">
      <c r="B74" s="26" t="s">
        <v>23</v>
      </c>
      <c r="C74" s="25">
        <f>MIN((C61-C65-C69),(MAX(321,(E49*(1+C73)))-E49)*D49)</f>
        <v>84096000</v>
      </c>
      <c r="D74" s="8" t="s">
        <v>20</v>
      </c>
      <c r="E74" s="8"/>
      <c r="F74" s="8"/>
      <c r="G74" s="8"/>
    </row>
    <row r="75" spans="2:7" outlineLevel="1">
      <c r="B75" s="22" t="s">
        <v>26</v>
      </c>
      <c r="C75" s="23">
        <f>C74/(MAX(321,(E49*(1+C73)))-IF(E49&lt;321,E49,1))</f>
        <v>576000</v>
      </c>
      <c r="D75" s="8" t="s">
        <v>24</v>
      </c>
      <c r="E75" s="8"/>
      <c r="F75" s="8"/>
      <c r="G75" s="8"/>
    </row>
    <row r="76" spans="2:7" ht="30.75" customHeight="1" outlineLevel="1">
      <c r="B76" s="70" t="s">
        <v>50</v>
      </c>
      <c r="C76" s="70"/>
      <c r="D76" s="70"/>
      <c r="E76" s="70"/>
      <c r="F76" s="70"/>
      <c r="G76" s="70"/>
    </row>
    <row r="77" spans="2:7" ht="4.5" customHeight="1" outlineLevel="1"/>
    <row r="78" spans="2:7" outlineLevel="1">
      <c r="B78" s="30" t="s">
        <v>22</v>
      </c>
      <c r="C78" s="25">
        <f>C61-C74-C69-C65</f>
        <v>70830720</v>
      </c>
      <c r="D78" s="10" t="s">
        <v>20</v>
      </c>
      <c r="E78" s="10"/>
      <c r="F78" s="10"/>
      <c r="G78" s="10"/>
    </row>
    <row r="79" spans="2:7" outlineLevel="1">
      <c r="B79" s="26" t="s">
        <v>27</v>
      </c>
      <c r="C79" s="23">
        <f>MIN(ROUNDDOWN(C78/321,0),(C41-C45))</f>
        <v>220656</v>
      </c>
      <c r="D79" s="8" t="s">
        <v>24</v>
      </c>
      <c r="E79" s="8"/>
      <c r="F79" s="8"/>
      <c r="G79" s="8"/>
    </row>
    <row r="80" spans="2:7" ht="30.75" customHeight="1" outlineLevel="1">
      <c r="B80" s="70" t="s">
        <v>36</v>
      </c>
      <c r="C80" s="70"/>
      <c r="D80" s="70"/>
      <c r="E80" s="70"/>
      <c r="F80" s="70"/>
      <c r="G80" s="70"/>
    </row>
    <row r="81" spans="1:7" ht="4.5" customHeight="1" outlineLevel="1">
      <c r="A81" s="24"/>
      <c r="B81" s="24"/>
      <c r="C81" s="24"/>
      <c r="D81" s="24"/>
      <c r="E81" s="24"/>
      <c r="F81" s="24"/>
      <c r="G81" s="24"/>
    </row>
    <row r="82" spans="1:7" ht="15" customHeight="1" outlineLevel="1">
      <c r="A82" s="28" t="s">
        <v>38</v>
      </c>
      <c r="B82" s="64" t="s">
        <v>28</v>
      </c>
      <c r="C82" s="39" t="s">
        <v>25</v>
      </c>
      <c r="D82" s="39" t="s">
        <v>37</v>
      </c>
      <c r="E82" s="8"/>
      <c r="F82" s="29" t="s">
        <v>59</v>
      </c>
      <c r="G82" s="8"/>
    </row>
    <row r="83" spans="1:7" ht="15" customHeight="1" outlineLevel="1">
      <c r="B83" s="64"/>
      <c r="C83" s="40">
        <f>C79</f>
        <v>220656</v>
      </c>
      <c r="D83" s="40">
        <f>C75+C70</f>
        <v>940800</v>
      </c>
      <c r="E83" s="8"/>
      <c r="F83" s="32">
        <f>(C45+C83)/C41</f>
        <v>0.14758199999999999</v>
      </c>
      <c r="G83" s="8"/>
    </row>
    <row r="84" spans="1:7" ht="17.25" customHeight="1">
      <c r="A84" s="24"/>
      <c r="B84" s="24"/>
      <c r="C84" s="41"/>
      <c r="D84" s="41" t="s">
        <v>51</v>
      </c>
      <c r="E84" s="24"/>
      <c r="F84" s="24"/>
      <c r="G84" s="24"/>
    </row>
    <row r="85" spans="1:7" ht="15" customHeight="1">
      <c r="A85" s="28" t="s">
        <v>70</v>
      </c>
      <c r="B85" s="64" t="s">
        <v>71</v>
      </c>
      <c r="C85" s="39" t="s">
        <v>25</v>
      </c>
      <c r="D85" s="39" t="s">
        <v>37</v>
      </c>
      <c r="E85" s="8"/>
      <c r="F85" s="29"/>
      <c r="G85" s="8"/>
    </row>
    <row r="86" spans="1:7" ht="15" customHeight="1">
      <c r="B86" s="64"/>
      <c r="C86" s="40">
        <f>C83*0.5</f>
        <v>110328</v>
      </c>
      <c r="D86" s="40">
        <f>D83</f>
        <v>940800</v>
      </c>
      <c r="E86" s="8"/>
      <c r="F86" s="32"/>
      <c r="G86" s="8"/>
    </row>
    <row r="87" spans="1:7" ht="15" customHeight="1">
      <c r="A87" s="24"/>
      <c r="B87" s="24"/>
      <c r="C87" s="24"/>
      <c r="D87" s="41" t="s">
        <v>51</v>
      </c>
      <c r="E87" s="24"/>
      <c r="F87" s="24"/>
      <c r="G87" s="24"/>
    </row>
    <row r="88" spans="1:7" ht="4.5" customHeight="1"/>
    <row r="90" spans="1:7" ht="4.5" customHeight="1"/>
    <row r="92" spans="1:7" ht="4.5" customHeight="1"/>
    <row r="94" spans="1:7" ht="4.5" customHeight="1"/>
    <row r="96" spans="1:7" ht="4.5" customHeight="1"/>
    <row r="98" ht="4.5" customHeight="1"/>
  </sheetData>
  <mergeCells count="17">
    <mergeCell ref="B85:B86"/>
    <mergeCell ref="B82:B83"/>
    <mergeCell ref="B38:B39"/>
    <mergeCell ref="E49:F49"/>
    <mergeCell ref="E51:F51"/>
    <mergeCell ref="E53:F53"/>
    <mergeCell ref="E47:G47"/>
    <mergeCell ref="E55:F55"/>
    <mergeCell ref="B66:G66"/>
    <mergeCell ref="B71:G71"/>
    <mergeCell ref="B76:G76"/>
    <mergeCell ref="B80:G80"/>
    <mergeCell ref="B25:B26"/>
    <mergeCell ref="B28:B36"/>
    <mergeCell ref="C28:G36"/>
    <mergeCell ref="A1:G1"/>
    <mergeCell ref="C5:G5"/>
  </mergeCells>
  <pageMargins left="0.7" right="0.7" top="0.75" bottom="0.75" header="0.3" footer="0.3"/>
  <pageSetup scale="68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workbookViewId="0">
      <selection activeCell="O20" sqref="O20"/>
    </sheetView>
  </sheetViews>
  <sheetFormatPr defaultRowHeight="15"/>
  <cols>
    <col min="1" max="1" width="15.28515625" customWidth="1"/>
    <col min="2" max="2" width="11.42578125" style="7" customWidth="1"/>
    <col min="3" max="7" width="9.140625" style="7"/>
  </cols>
  <sheetData>
    <row r="1" spans="1:18">
      <c r="C1" s="7" t="s">
        <v>63</v>
      </c>
      <c r="D1" s="7" t="s">
        <v>67</v>
      </c>
      <c r="E1" s="7" t="s">
        <v>66</v>
      </c>
      <c r="F1" s="7" t="s">
        <v>64</v>
      </c>
      <c r="G1" s="7" t="s">
        <v>65</v>
      </c>
      <c r="H1" t="s">
        <v>62</v>
      </c>
    </row>
    <row r="2" spans="1:18">
      <c r="A2" t="s">
        <v>60</v>
      </c>
      <c r="B2" s="7" t="s">
        <v>53</v>
      </c>
      <c r="C2" s="43">
        <v>0.60192759615670643</v>
      </c>
      <c r="D2" s="43">
        <v>4.0098759556176936E-2</v>
      </c>
      <c r="E2" s="43">
        <v>0.32233691287146382</v>
      </c>
      <c r="F2" s="43">
        <v>3.5458250290031829E-2</v>
      </c>
      <c r="G2" s="43">
        <v>1.7848112562096559E-4</v>
      </c>
      <c r="H2" s="37">
        <f>SUM(C2:G2)</f>
        <v>0.99999999999999989</v>
      </c>
    </row>
    <row r="3" spans="1:18">
      <c r="B3" s="7" t="s">
        <v>54</v>
      </c>
      <c r="C3" s="7">
        <v>0</v>
      </c>
      <c r="D3" s="7">
        <v>224</v>
      </c>
      <c r="E3" s="7">
        <v>894</v>
      </c>
      <c r="F3" s="7">
        <v>3205</v>
      </c>
      <c r="G3" s="7">
        <v>18567</v>
      </c>
    </row>
    <row r="4" spans="1:18" ht="15.75" thickBot="1">
      <c r="B4" s="7" t="s">
        <v>56</v>
      </c>
      <c r="C4" s="7">
        <f>C2*C3</f>
        <v>0</v>
      </c>
      <c r="D4" s="7">
        <f t="shared" ref="D4:G4" si="0">D2*D3</f>
        <v>8.982122140583634</v>
      </c>
      <c r="E4" s="7">
        <f t="shared" si="0"/>
        <v>288.16920010708867</v>
      </c>
      <c r="F4" s="7">
        <f t="shared" si="0"/>
        <v>113.643692179552</v>
      </c>
      <c r="G4" s="7">
        <f t="shared" si="0"/>
        <v>3.3138590594044679</v>
      </c>
      <c r="H4" s="7">
        <f>SUM(C4:G4)</f>
        <v>414.10887348662874</v>
      </c>
    </row>
    <row r="5" spans="1:18" ht="29.25" customHeight="1">
      <c r="L5" s="74"/>
      <c r="M5" s="44" t="s">
        <v>76</v>
      </c>
      <c r="N5" s="71" t="s">
        <v>78</v>
      </c>
      <c r="O5" s="71" t="s">
        <v>79</v>
      </c>
      <c r="P5" s="71" t="s">
        <v>80</v>
      </c>
      <c r="Q5" s="71" t="s">
        <v>81</v>
      </c>
      <c r="R5" s="44" t="s">
        <v>82</v>
      </c>
    </row>
    <row r="6" spans="1:18" ht="15.75" thickBot="1">
      <c r="A6" t="s">
        <v>61</v>
      </c>
      <c r="B6" s="7" t="s">
        <v>52</v>
      </c>
      <c r="C6" s="43">
        <v>0.29718688336027127</v>
      </c>
      <c r="D6" s="43">
        <v>9.5588454025324995E-2</v>
      </c>
      <c r="E6" s="43">
        <v>0.54351555295540854</v>
      </c>
      <c r="F6" s="43">
        <v>6.3272813810746759E-2</v>
      </c>
      <c r="G6" s="43">
        <v>4.3629584824837135E-4</v>
      </c>
      <c r="H6" s="37">
        <f>SUM(C6:G6)</f>
        <v>0.99999999999999989</v>
      </c>
      <c r="L6" s="75"/>
      <c r="M6" s="45" t="s">
        <v>77</v>
      </c>
      <c r="N6" s="72"/>
      <c r="O6" s="72"/>
      <c r="P6" s="72"/>
      <c r="Q6" s="72"/>
      <c r="R6" s="45" t="s">
        <v>77</v>
      </c>
    </row>
    <row r="7" spans="1:18" ht="75.75" thickBot="1">
      <c r="B7" s="7" t="s">
        <v>55</v>
      </c>
      <c r="C7" s="7">
        <v>0</v>
      </c>
      <c r="D7" s="7">
        <v>229</v>
      </c>
      <c r="E7" s="7">
        <v>962</v>
      </c>
      <c r="F7" s="7">
        <v>3352</v>
      </c>
      <c r="G7" s="7">
        <v>80357</v>
      </c>
      <c r="L7" s="46" t="s">
        <v>83</v>
      </c>
      <c r="M7" s="47">
        <v>0.1</v>
      </c>
      <c r="N7" s="47">
        <v>0.5</v>
      </c>
      <c r="O7" s="47">
        <v>0.28000000000000003</v>
      </c>
      <c r="P7" s="47">
        <v>0.1</v>
      </c>
      <c r="Q7" s="48">
        <v>1.4999999999999999E-2</v>
      </c>
      <c r="R7" s="48">
        <v>5.0000000000000001E-3</v>
      </c>
    </row>
    <row r="8" spans="1:18" ht="45.75" thickBot="1">
      <c r="B8" s="7" t="s">
        <v>57</v>
      </c>
      <c r="C8" s="7">
        <f>C6*C7</f>
        <v>0</v>
      </c>
      <c r="D8" s="7">
        <f t="shared" ref="D8:G8" si="1">D6*D7</f>
        <v>21.889755971799424</v>
      </c>
      <c r="E8" s="7">
        <f t="shared" si="1"/>
        <v>522.86196194310298</v>
      </c>
      <c r="F8" s="7">
        <f t="shared" si="1"/>
        <v>212.09047189362315</v>
      </c>
      <c r="G8" s="7">
        <f t="shared" si="1"/>
        <v>35.059425477694376</v>
      </c>
      <c r="H8" s="7">
        <f>SUM(C8:G8)</f>
        <v>791.90161528621991</v>
      </c>
      <c r="L8" s="46" t="s">
        <v>84</v>
      </c>
      <c r="M8" s="49">
        <v>50</v>
      </c>
      <c r="N8" s="49">
        <v>200</v>
      </c>
      <c r="O8" s="49">
        <v>600</v>
      </c>
      <c r="P8" s="49">
        <v>1500</v>
      </c>
      <c r="Q8" s="49">
        <v>4000</v>
      </c>
      <c r="R8" s="49">
        <v>14000</v>
      </c>
    </row>
    <row r="10" spans="1:18" hidden="1">
      <c r="C10" s="7">
        <f t="shared" ref="C10" si="2">C2</f>
        <v>0.60192759615670643</v>
      </c>
      <c r="D10" s="7">
        <f>D2</f>
        <v>4.0098759556176936E-2</v>
      </c>
      <c r="E10" s="7">
        <f>E2</f>
        <v>0.32233691287146382</v>
      </c>
      <c r="F10" s="7">
        <f>F2</f>
        <v>3.5458250290031829E-2</v>
      </c>
      <c r="G10" s="7">
        <f>G2</f>
        <v>1.7848112562096559E-4</v>
      </c>
    </row>
    <row r="11" spans="1:18" hidden="1">
      <c r="C11" s="7">
        <f t="shared" ref="C11:F11" si="3">C7</f>
        <v>0</v>
      </c>
      <c r="D11" s="7">
        <f t="shared" si="3"/>
        <v>229</v>
      </c>
      <c r="E11" s="7">
        <f t="shared" si="3"/>
        <v>962</v>
      </c>
      <c r="F11" s="7">
        <f t="shared" si="3"/>
        <v>3352</v>
      </c>
      <c r="G11" s="7">
        <f>G7</f>
        <v>80357</v>
      </c>
    </row>
    <row r="12" spans="1:18" hidden="1">
      <c r="C12" s="7">
        <f t="shared" ref="C12:F12" si="4">C10*C11</f>
        <v>0</v>
      </c>
      <c r="D12" s="7">
        <f t="shared" si="4"/>
        <v>9.1826159383645187</v>
      </c>
      <c r="E12" s="7">
        <f t="shared" si="4"/>
        <v>310.0881101823482</v>
      </c>
      <c r="F12" s="7">
        <f t="shared" si="4"/>
        <v>118.85605497218668</v>
      </c>
      <c r="G12" s="7">
        <f>G10*G11</f>
        <v>14.342207811523933</v>
      </c>
    </row>
    <row r="13" spans="1:18" hidden="1"/>
    <row r="14" spans="1:18" hidden="1">
      <c r="C14" s="7">
        <f>SUM(D6:G6)-SUM(D2:G2)</f>
        <v>0.30474071279643516</v>
      </c>
      <c r="D14" s="7">
        <f>E6+F6+G6-E2-F2-G2</f>
        <v>0.24925101832728705</v>
      </c>
      <c r="E14" s="7">
        <f>F6-F2+G6-G2</f>
        <v>2.8072378243342334E-2</v>
      </c>
      <c r="F14" s="7">
        <f>G6-G10</f>
        <v>2.5781472262740576E-4</v>
      </c>
    </row>
    <row r="15" spans="1:18" hidden="1">
      <c r="C15" s="7">
        <f>D7-C3</f>
        <v>229</v>
      </c>
      <c r="D15" s="7">
        <f>E7-D3</f>
        <v>738</v>
      </c>
      <c r="E15" s="7">
        <f>F7-E3</f>
        <v>2458</v>
      </c>
      <c r="F15" s="7">
        <f>G7-F3</f>
        <v>77152</v>
      </c>
    </row>
    <row r="16" spans="1:18" hidden="1">
      <c r="C16" s="7">
        <f t="shared" ref="C16:E16" si="5">C14*C15</f>
        <v>69.785623230383649</v>
      </c>
      <c r="D16" s="7">
        <f t="shared" si="5"/>
        <v>183.94725152553784</v>
      </c>
      <c r="E16" s="7">
        <f t="shared" si="5"/>
        <v>69.001905722135461</v>
      </c>
      <c r="F16" s="7">
        <f>F14*F15</f>
        <v>19.890921480149608</v>
      </c>
    </row>
    <row r="17" spans="1:18" hidden="1"/>
    <row r="18" spans="1:18" hidden="1">
      <c r="C18" s="7">
        <f>C4+C12+C16</f>
        <v>69.785623230383649</v>
      </c>
      <c r="D18" s="7">
        <f t="shared" ref="D18:G18" si="6">D4+D12+D16</f>
        <v>202.11198960448598</v>
      </c>
      <c r="E18" s="7">
        <f t="shared" si="6"/>
        <v>667.25921601157233</v>
      </c>
      <c r="F18" s="7">
        <f t="shared" si="6"/>
        <v>252.3906686318883</v>
      </c>
      <c r="G18" s="7">
        <f t="shared" si="6"/>
        <v>17.656066870928399</v>
      </c>
      <c r="H18" s="7">
        <f>SUM(C18:G18)</f>
        <v>1209.2035643492588</v>
      </c>
    </row>
    <row r="19" spans="1:18">
      <c r="M19">
        <f>M7*M8</f>
        <v>5</v>
      </c>
      <c r="N19">
        <f t="shared" ref="N19:R19" si="7">N7*N8</f>
        <v>100</v>
      </c>
      <c r="O19">
        <f t="shared" si="7"/>
        <v>168.00000000000003</v>
      </c>
      <c r="P19">
        <f t="shared" si="7"/>
        <v>150</v>
      </c>
      <c r="Q19">
        <f t="shared" si="7"/>
        <v>60</v>
      </c>
      <c r="R19">
        <f t="shared" si="7"/>
        <v>70</v>
      </c>
    </row>
    <row r="20" spans="1:18">
      <c r="A20" s="73" t="s">
        <v>68</v>
      </c>
      <c r="B20" s="73"/>
      <c r="C20" s="7">
        <f>(SUM(D6:G6)-SUM(D2:G2))*(D7-C3)+C2*(C7-C3)-(C7-C3)*(SUM(D6:G6)-SUM(D2:G2))</f>
        <v>69.785623230383649</v>
      </c>
      <c r="D20" s="7">
        <f>(SUM(E6:G6)-SUM(E2:G2))*(E7-D3)+D2*(D7-D3)-(D7-D3)*(SUM(E6:G6)-SUM(E2:G2))</f>
        <v>182.90149023168232</v>
      </c>
      <c r="E20" s="7">
        <f>(SUM(F6:G6)-SUM(F2:G2))*(F7-E3)+E2*(E7-E3)-(E7-E3)*(SUM(F6:G6)-SUM(F2:G2))</f>
        <v>89.011894076847739</v>
      </c>
      <c r="F20" s="7">
        <f>(SUM(G6:G6)-SUM(G2:G2))*(G7-F3)+F2*(F7-F3)-(F7-F3)*(SUM(G6:G6)-SUM(G2:G2))</f>
        <v>25.065385508558059</v>
      </c>
      <c r="G20" s="7">
        <f>G2*(G7-G3)</f>
        <v>11.028348752119463</v>
      </c>
      <c r="H20" s="37">
        <f>SUM(C20:G20)</f>
        <v>377.79274179959123</v>
      </c>
      <c r="M20">
        <f>(M19+N19)/(M7+N7)</f>
        <v>175</v>
      </c>
      <c r="O20">
        <f>(O19+P19)/(O7+P7)</f>
        <v>836.84210526315792</v>
      </c>
    </row>
    <row r="22" spans="1:18" ht="29.25" customHeight="1">
      <c r="A22" s="50" t="s">
        <v>69</v>
      </c>
      <c r="B22" s="50"/>
      <c r="C22" s="7">
        <f>C4+C20</f>
        <v>69.785623230383649</v>
      </c>
      <c r="D22" s="7">
        <f t="shared" ref="D22:G22" si="8">D4+D20</f>
        <v>191.88361237226596</v>
      </c>
      <c r="E22" s="7">
        <f t="shared" si="8"/>
        <v>377.18109418393641</v>
      </c>
      <c r="F22" s="7">
        <f t="shared" si="8"/>
        <v>138.70907768811006</v>
      </c>
      <c r="G22" s="7">
        <f t="shared" si="8"/>
        <v>14.342207811523931</v>
      </c>
      <c r="H22" s="7">
        <f>SUM(C22:G22)</f>
        <v>791.90161528622002</v>
      </c>
    </row>
    <row r="24" spans="1:18">
      <c r="B24" s="7" t="s">
        <v>58</v>
      </c>
      <c r="C24" s="38">
        <f>C20/$H$20</f>
        <v>0.18471933287538653</v>
      </c>
      <c r="D24" s="38">
        <f t="shared" ref="D24:G24" si="9">D20/$H$20</f>
        <v>0.48413182678005651</v>
      </c>
      <c r="E24" s="38">
        <f t="shared" si="9"/>
        <v>0.23561038693555983</v>
      </c>
      <c r="F24" s="38">
        <f t="shared" si="9"/>
        <v>6.6346921831162559E-2</v>
      </c>
      <c r="G24" s="38">
        <f t="shared" si="9"/>
        <v>2.9191531577834551E-2</v>
      </c>
    </row>
    <row r="27" spans="1:18">
      <c r="C27" s="7">
        <f t="shared" ref="C27:F27" si="10">C22/C2</f>
        <v>115.93690615941721</v>
      </c>
      <c r="D27" s="7">
        <f t="shared" si="10"/>
        <v>4785.2755171501958</v>
      </c>
      <c r="E27" s="7">
        <f t="shared" si="10"/>
        <v>1170.1455189351598</v>
      </c>
      <c r="F27" s="7">
        <f t="shared" si="10"/>
        <v>3911.8985441620771</v>
      </c>
      <c r="G27" s="7">
        <f>G22/G2</f>
        <v>80357</v>
      </c>
    </row>
  </sheetData>
  <mergeCells count="7">
    <mergeCell ref="P5:P6"/>
    <mergeCell ref="Q5:Q6"/>
    <mergeCell ref="A20:B20"/>
    <mergeCell ref="A22:B22"/>
    <mergeCell ref="L5:L6"/>
    <mergeCell ref="N5:N6"/>
    <mergeCell ref="O5:O6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The World Bank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wb239709</dc:creator>
  <cp:lastModifiedBy>wb239709</cp:lastModifiedBy>
  <cp:lastPrinted>2013-05-21T21:01:13Z</cp:lastPrinted>
  <dcterms:created xsi:type="dcterms:W3CDTF">2013-05-15T18:40:58Z</dcterms:created>
  <dcterms:modified xsi:type="dcterms:W3CDTF">2013-05-28T12:44:18Z</dcterms:modified>
</cp:coreProperties>
</file>